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ranworth365-my.sharepoint.com/personal/dave_franworth_com/Documents/Personal/Lessons on Purpose/"/>
    </mc:Choice>
  </mc:AlternateContent>
  <xr:revisionPtr revIDLastSave="39" documentId="8_{74420D16-FDCD-407B-9551-3B75CE53F925}" xr6:coauthVersionLast="47" xr6:coauthVersionMax="47" xr10:uidLastSave="{7DD1F0F2-B6EC-45A1-B8E2-86A6DC03BBAA}"/>
  <bookViews>
    <workbookView xWindow="-120" yWindow="-120" windowWidth="29040" windowHeight="15720" xr2:uid="{00000000-000D-0000-FFFF-FFFF00000000}"/>
  </bookViews>
  <sheets>
    <sheet name="Pro Forma P&amp;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fNv7pGgUqkfZsIL5nZNziEB6HMqyyOv/bllAHqyejQ="/>
    </ext>
  </extLst>
</workbook>
</file>

<file path=xl/calcChain.xml><?xml version="1.0" encoding="utf-8"?>
<calcChain xmlns="http://schemas.openxmlformats.org/spreadsheetml/2006/main">
  <c r="B12" i="1" l="1"/>
  <c r="C17" i="1"/>
  <c r="D13" i="1"/>
  <c r="D7" i="1"/>
  <c r="E7" i="1" s="1"/>
  <c r="F7" i="1" s="1"/>
  <c r="G7" i="1" s="1"/>
  <c r="H7" i="1" s="1"/>
  <c r="I7" i="1" s="1"/>
  <c r="J7" i="1" s="1"/>
  <c r="K7" i="1" s="1"/>
  <c r="L7" i="1" s="1"/>
  <c r="M7" i="1" s="1"/>
  <c r="D6" i="1"/>
  <c r="E6" i="1" s="1"/>
  <c r="F6" i="1" s="1"/>
  <c r="G6" i="1" s="1"/>
  <c r="H6" i="1" s="1"/>
  <c r="I6" i="1" s="1"/>
  <c r="J6" i="1" s="1"/>
  <c r="K6" i="1" s="1"/>
  <c r="L6" i="1" s="1"/>
  <c r="M6" i="1" s="1"/>
  <c r="E16" i="1"/>
  <c r="F16" i="1"/>
  <c r="G16" i="1"/>
  <c r="I16" i="1" s="1"/>
  <c r="K16" i="1" s="1"/>
  <c r="M16" i="1" s="1"/>
  <c r="H16" i="1"/>
  <c r="J16" i="1" s="1"/>
  <c r="L16" i="1" s="1"/>
  <c r="D16" i="1"/>
  <c r="B8" i="1"/>
  <c r="D26" i="1"/>
  <c r="C15" i="1"/>
  <c r="C12" i="1"/>
  <c r="C8" i="1"/>
  <c r="E4" i="1"/>
  <c r="F4" i="1" s="1"/>
  <c r="G4" i="1" s="1"/>
  <c r="H4" i="1" s="1"/>
  <c r="I4" i="1" s="1"/>
  <c r="J4" i="1" s="1"/>
  <c r="K4" i="1" s="1"/>
  <c r="L4" i="1" s="1"/>
  <c r="M4" i="1" s="1"/>
  <c r="D12" i="1" l="1"/>
  <c r="B17" i="1"/>
  <c r="E13" i="1"/>
  <c r="F13" i="1" s="1"/>
  <c r="G13" i="1" s="1"/>
  <c r="H13" i="1" s="1"/>
  <c r="I13" i="1" s="1"/>
  <c r="J13" i="1" s="1"/>
  <c r="K13" i="1" s="1"/>
  <c r="L13" i="1" s="1"/>
  <c r="M13" i="1" s="1"/>
  <c r="D20" i="1"/>
  <c r="D15" i="1"/>
  <c r="B15" i="1"/>
  <c r="C23" i="1"/>
  <c r="C18" i="1"/>
  <c r="E26" i="1"/>
  <c r="F26" i="1"/>
  <c r="E12" i="1" l="1"/>
  <c r="G12" i="1"/>
  <c r="H12" i="1"/>
  <c r="F12" i="1"/>
  <c r="E20" i="1"/>
  <c r="B21" i="1"/>
  <c r="I12" i="1"/>
  <c r="L12" i="1"/>
  <c r="J12" i="1"/>
  <c r="D8" i="1"/>
  <c r="B10" i="1"/>
  <c r="B18" i="1"/>
  <c r="B23" i="1"/>
  <c r="B24" i="1" s="1"/>
  <c r="E8" i="1"/>
  <c r="H26" i="1"/>
  <c r="G26" i="1"/>
  <c r="D34" i="1" l="1"/>
  <c r="D17" i="1"/>
  <c r="D23" i="1" s="1"/>
  <c r="D27" i="1" s="1"/>
  <c r="D29" i="1" s="1"/>
  <c r="D10" i="1"/>
  <c r="D37" i="1" s="1"/>
  <c r="D21" i="1"/>
  <c r="E17" i="1"/>
  <c r="E10" i="1" s="1"/>
  <c r="F20" i="1"/>
  <c r="E21" i="1"/>
  <c r="E34" i="1"/>
  <c r="M12" i="1"/>
  <c r="K12" i="1"/>
  <c r="D9" i="1"/>
  <c r="B27" i="1"/>
  <c r="B29" i="1" s="1"/>
  <c r="B30" i="1" s="1"/>
  <c r="F8" i="1"/>
  <c r="F17" i="1" s="1"/>
  <c r="I26" i="1"/>
  <c r="J26" i="1"/>
  <c r="G8" i="1"/>
  <c r="G17" i="1" s="1"/>
  <c r="E9" i="1"/>
  <c r="D18" i="1" l="1"/>
  <c r="D24" i="1"/>
  <c r="E35" i="1"/>
  <c r="D35" i="1"/>
  <c r="D40" i="1" s="1"/>
  <c r="D42" i="1" s="1"/>
  <c r="G20" i="1"/>
  <c r="F21" i="1"/>
  <c r="D30" i="1"/>
  <c r="K26" i="1"/>
  <c r="G9" i="1"/>
  <c r="E37" i="1"/>
  <c r="F18" i="1"/>
  <c r="G34" i="1"/>
  <c r="F10" i="1"/>
  <c r="F9" i="1"/>
  <c r="F23" i="1"/>
  <c r="E23" i="1"/>
  <c r="E18" i="1"/>
  <c r="F34" i="1"/>
  <c r="L26" i="1"/>
  <c r="H20" i="1" l="1"/>
  <c r="G21" i="1"/>
  <c r="G23" i="1"/>
  <c r="G18" i="1"/>
  <c r="G10" i="1"/>
  <c r="F24" i="1"/>
  <c r="F27" i="1"/>
  <c r="F29" i="1" s="1"/>
  <c r="H8" i="1"/>
  <c r="H17" i="1" s="1"/>
  <c r="E24" i="1"/>
  <c r="E27" i="1"/>
  <c r="E29" i="1" s="1"/>
  <c r="M26" i="1"/>
  <c r="F37" i="1"/>
  <c r="F35" i="1"/>
  <c r="I20" i="1" l="1"/>
  <c r="H21" i="1"/>
  <c r="F40" i="1"/>
  <c r="F42" i="1" s="1"/>
  <c r="F30" i="1"/>
  <c r="E40" i="1"/>
  <c r="E42" i="1" s="1"/>
  <c r="E30" i="1"/>
  <c r="H18" i="1"/>
  <c r="H10" i="1"/>
  <c r="H9" i="1"/>
  <c r="H34" i="1"/>
  <c r="H23" i="1"/>
  <c r="G37" i="1"/>
  <c r="G35" i="1"/>
  <c r="I8" i="1"/>
  <c r="G24" i="1"/>
  <c r="G27" i="1"/>
  <c r="G29" i="1" s="1"/>
  <c r="I34" i="1" l="1"/>
  <c r="I17" i="1"/>
  <c r="I10" i="1" s="1"/>
  <c r="I35" i="1" s="1"/>
  <c r="J20" i="1"/>
  <c r="I21" i="1"/>
  <c r="G40" i="1"/>
  <c r="G42" i="1" s="1"/>
  <c r="G30" i="1"/>
  <c r="J8" i="1"/>
  <c r="J17" i="1" s="1"/>
  <c r="H37" i="1"/>
  <c r="H35" i="1"/>
  <c r="H24" i="1"/>
  <c r="H27" i="1"/>
  <c r="H29" i="1" s="1"/>
  <c r="I9" i="1"/>
  <c r="I18" i="1" l="1"/>
  <c r="I23" i="1"/>
  <c r="I24" i="1" s="1"/>
  <c r="K20" i="1"/>
  <c r="J21" i="1"/>
  <c r="H40" i="1"/>
  <c r="H42" i="1" s="1"/>
  <c r="H30" i="1"/>
  <c r="J18" i="1"/>
  <c r="K8" i="1"/>
  <c r="J9" i="1"/>
  <c r="J10" i="1"/>
  <c r="J23" i="1"/>
  <c r="J34" i="1"/>
  <c r="I37" i="1"/>
  <c r="I27" i="1" l="1"/>
  <c r="I29" i="1" s="1"/>
  <c r="I40" i="1" s="1"/>
  <c r="I42" i="1" s="1"/>
  <c r="K34" i="1"/>
  <c r="K17" i="1"/>
  <c r="K23" i="1" s="1"/>
  <c r="L20" i="1"/>
  <c r="K21" i="1"/>
  <c r="J24" i="1"/>
  <c r="J27" i="1"/>
  <c r="J29" i="1" s="1"/>
  <c r="J37" i="1"/>
  <c r="K9" i="1"/>
  <c r="K10" i="1"/>
  <c r="K35" i="1" s="1"/>
  <c r="J35" i="1"/>
  <c r="L8" i="1"/>
  <c r="L17" i="1" s="1"/>
  <c r="K18" i="1" l="1"/>
  <c r="I30" i="1"/>
  <c r="M20" i="1"/>
  <c r="L21" i="1"/>
  <c r="J40" i="1"/>
  <c r="J42" i="1" s="1"/>
  <c r="J30" i="1"/>
  <c r="K24" i="1"/>
  <c r="K27" i="1"/>
  <c r="K29" i="1" s="1"/>
  <c r="M8" i="1"/>
  <c r="M17" i="1" s="1"/>
  <c r="L18" i="1"/>
  <c r="K37" i="1"/>
  <c r="L9" i="1"/>
  <c r="L10" i="1"/>
  <c r="L23" i="1"/>
  <c r="L34" i="1"/>
  <c r="M21" i="1" l="1"/>
  <c r="L24" i="1"/>
  <c r="L27" i="1"/>
  <c r="L29" i="1" s="1"/>
  <c r="K40" i="1"/>
  <c r="K42" i="1" s="1"/>
  <c r="K30" i="1"/>
  <c r="M18" i="1"/>
  <c r="M9" i="1"/>
  <c r="M10" i="1"/>
  <c r="M37" i="1" s="1"/>
  <c r="M23" i="1"/>
  <c r="L37" i="1"/>
  <c r="M34" i="1"/>
  <c r="L35" i="1"/>
  <c r="M35" i="1" l="1"/>
  <c r="L40" i="1"/>
  <c r="L42" i="1" s="1"/>
  <c r="L30" i="1"/>
  <c r="M24" i="1"/>
  <c r="M27" i="1"/>
  <c r="M29" i="1" s="1"/>
  <c r="M40" i="1" l="1"/>
  <c r="M41" i="1" s="1"/>
  <c r="M30" i="1"/>
  <c r="M42" i="1" l="1"/>
  <c r="D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7" authorId="0" shapeId="0" xr:uid="{00000000-0006-0000-0000-000005000000}">
      <text>
        <r>
          <rPr>
            <sz val="10"/>
            <color rgb="FF000000"/>
            <rFont val="Arial"/>
            <scheme val="minor"/>
          </rPr>
          <t>======
ID#AAAAmyFmul4
Dave Keil    (2023-01-04 03:04:53)
Weighted average cost of capital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Y6oDPAtFb29GCmAS62l/0Z9pphQ=="/>
    </ext>
  </extLst>
</comments>
</file>

<file path=xl/sharedStrings.xml><?xml version="1.0" encoding="utf-8"?>
<sst xmlns="http://schemas.openxmlformats.org/spreadsheetml/2006/main" count="39" uniqueCount="30">
  <si>
    <t>Base</t>
  </si>
  <si>
    <t>Projections</t>
  </si>
  <si>
    <t>$-000's</t>
  </si>
  <si>
    <t>Total - Sales</t>
  </si>
  <si>
    <t>YoY</t>
  </si>
  <si>
    <t>Gross Profit</t>
  </si>
  <si>
    <t>Margin</t>
  </si>
  <si>
    <t>SG&amp;A</t>
  </si>
  <si>
    <t>Operating Profit before Taxes</t>
  </si>
  <si>
    <t>Marginal Tax Rate</t>
  </si>
  <si>
    <t>Taxes</t>
  </si>
  <si>
    <t>Operating Profit after taxes</t>
  </si>
  <si>
    <t xml:space="preserve">Free Cashflow Adjustments </t>
  </si>
  <si>
    <t>A/Rs investments (DSO)</t>
  </si>
  <si>
    <t>Inventory (DOH)</t>
  </si>
  <si>
    <t>A/Ps (days payable)</t>
  </si>
  <si>
    <t>Free Cashflow</t>
  </si>
  <si>
    <t>Terminal Value  (perpetuity growth rate)</t>
  </si>
  <si>
    <t>Total Free Cashflow</t>
  </si>
  <si>
    <t>Upfront Payment</t>
  </si>
  <si>
    <t>Net Present Value (discount rate)</t>
  </si>
  <si>
    <t>COGS %</t>
  </si>
  <si>
    <t xml:space="preserve"> </t>
  </si>
  <si>
    <t>Growth rate</t>
  </si>
  <si>
    <t>Fence Co Valuation</t>
  </si>
  <si>
    <t>Sales - Fence Type 1</t>
  </si>
  <si>
    <t>Sales - Fence Type 2</t>
  </si>
  <si>
    <t>COGS  - Fence Type 1 (Labor + material)</t>
  </si>
  <si>
    <t>COGS -Fence Type 2</t>
  </si>
  <si>
    <t xml:space="preserve">        Input into these boxes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</si>
</sst>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_);\(#,##0.0\)"/>
    <numFmt numFmtId="166" formatCode="0.0%"/>
    <numFmt numFmtId="167" formatCode="_(* #,##0.0_);_(* \(#,##0.0\);_(* &quot;-&quot;??_);_(@_)"/>
    <numFmt numFmtId="168" formatCode="&quot;$&quot;#,##0.0_);[Red]\(&quot;$&quot;#,##0.0\)"/>
  </numFmts>
  <fonts count="18" x14ac:knownFonts="1">
    <font>
      <sz val="10"/>
      <color rgb="FF000000"/>
      <name val="Arial"/>
      <scheme val="minor"/>
    </font>
    <font>
      <sz val="10"/>
      <color theme="1"/>
      <name val="Open Sans"/>
    </font>
    <font>
      <b/>
      <sz val="14"/>
      <color theme="1"/>
      <name val="Open Sans"/>
    </font>
    <font>
      <sz val="10"/>
      <name val="Arial"/>
    </font>
    <font>
      <sz val="8"/>
      <color theme="1"/>
      <name val="Open Sans"/>
    </font>
    <font>
      <u/>
      <sz val="10"/>
      <color theme="1"/>
      <name val="Open Sans"/>
    </font>
    <font>
      <u/>
      <sz val="10"/>
      <color theme="1"/>
      <name val="Open Sans"/>
    </font>
    <font>
      <b/>
      <sz val="10"/>
      <color theme="4"/>
      <name val="Open Sans"/>
    </font>
    <font>
      <b/>
      <sz val="10"/>
      <color theme="1"/>
      <name val="Open Sans"/>
    </font>
    <font>
      <i/>
      <sz val="10"/>
      <color theme="1"/>
      <name val="Open Sans"/>
    </font>
    <font>
      <sz val="10"/>
      <color theme="4"/>
      <name val="Open Sans"/>
    </font>
    <font>
      <b/>
      <i/>
      <sz val="10"/>
      <color theme="4"/>
      <name val="Open Sans"/>
    </font>
    <font>
      <i/>
      <sz val="10"/>
      <color theme="4"/>
      <name val="Open Sans"/>
    </font>
    <font>
      <b/>
      <u/>
      <sz val="10"/>
      <color theme="1"/>
      <name val="Open Sans"/>
    </font>
    <font>
      <sz val="10"/>
      <color rgb="FF000000"/>
      <name val="Arial"/>
      <scheme val="minor"/>
    </font>
    <font>
      <sz val="10"/>
      <color theme="1"/>
      <name val="Open Sans"/>
      <family val="2"/>
    </font>
    <font>
      <i/>
      <sz val="10"/>
      <color theme="1"/>
      <name val="Open Sans"/>
      <family val="2"/>
    </font>
    <font>
      <u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0" fontId="7" fillId="0" borderId="0" xfId="0" applyFont="1"/>
    <xf numFmtId="0" fontId="1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/>
    <xf numFmtId="0" fontId="8" fillId="0" borderId="0" xfId="0" applyFont="1"/>
    <xf numFmtId="165" fontId="8" fillId="0" borderId="0" xfId="0" applyNumberFormat="1" applyFont="1"/>
    <xf numFmtId="0" fontId="9" fillId="0" borderId="0" xfId="0" applyFont="1"/>
    <xf numFmtId="166" fontId="9" fillId="0" borderId="0" xfId="0" applyNumberFormat="1" applyFont="1"/>
    <xf numFmtId="164" fontId="1" fillId="0" borderId="0" xfId="0" applyNumberFormat="1" applyFont="1"/>
    <xf numFmtId="166" fontId="7" fillId="0" borderId="0" xfId="0" applyNumberFormat="1" applyFont="1"/>
    <xf numFmtId="0" fontId="10" fillId="0" borderId="0" xfId="0" applyFont="1"/>
    <xf numFmtId="0" fontId="9" fillId="0" borderId="1" xfId="0" applyFont="1" applyBorder="1"/>
    <xf numFmtId="166" fontId="11" fillId="0" borderId="1" xfId="0" applyNumberFormat="1" applyFont="1" applyBorder="1"/>
    <xf numFmtId="166" fontId="9" fillId="0" borderId="1" xfId="0" applyNumberFormat="1" applyFont="1" applyBorder="1"/>
    <xf numFmtId="166" fontId="7" fillId="0" borderId="1" xfId="0" applyNumberFormat="1" applyFont="1" applyBorder="1"/>
    <xf numFmtId="167" fontId="1" fillId="0" borderId="0" xfId="0" applyNumberFormat="1" applyFont="1"/>
    <xf numFmtId="166" fontId="11" fillId="0" borderId="0" xfId="0" applyNumberFormat="1" applyFont="1"/>
    <xf numFmtId="0" fontId="12" fillId="0" borderId="0" xfId="0" applyFont="1"/>
    <xf numFmtId="0" fontId="9" fillId="0" borderId="5" xfId="0" applyFont="1" applyBorder="1"/>
    <xf numFmtId="166" fontId="9" fillId="0" borderId="6" xfId="0" applyNumberFormat="1" applyFont="1" applyBorder="1"/>
    <xf numFmtId="165" fontId="1" fillId="0" borderId="0" xfId="0" applyNumberFormat="1" applyFont="1"/>
    <xf numFmtId="166" fontId="1" fillId="0" borderId="0" xfId="0" applyNumberFormat="1" applyFont="1"/>
    <xf numFmtId="0" fontId="13" fillId="0" borderId="0" xfId="0" applyFont="1"/>
    <xf numFmtId="165" fontId="1" fillId="0" borderId="1" xfId="0" applyNumberFormat="1" applyFont="1" applyBorder="1"/>
    <xf numFmtId="0" fontId="8" fillId="0" borderId="10" xfId="0" applyFont="1" applyBorder="1"/>
    <xf numFmtId="0" fontId="8" fillId="0" borderId="11" xfId="0" applyFont="1" applyBorder="1"/>
    <xf numFmtId="164" fontId="8" fillId="0" borderId="12" xfId="0" applyNumberFormat="1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2" borderId="2" xfId="0" applyFont="1" applyFill="1" applyBorder="1"/>
    <xf numFmtId="165" fontId="1" fillId="2" borderId="3" xfId="0" applyNumberFormat="1" applyFont="1" applyFill="1" applyBorder="1"/>
    <xf numFmtId="165" fontId="1" fillId="2" borderId="4" xfId="0" applyNumberFormat="1" applyFont="1" applyFill="1" applyBorder="1"/>
    <xf numFmtId="0" fontId="8" fillId="2" borderId="7" xfId="0" applyFont="1" applyFill="1" applyBorder="1"/>
    <xf numFmtId="165" fontId="8" fillId="2" borderId="8" xfId="0" applyNumberFormat="1" applyFont="1" applyFill="1" applyBorder="1"/>
    <xf numFmtId="165" fontId="8" fillId="2" borderId="9" xfId="0" applyNumberFormat="1" applyFont="1" applyFill="1" applyBorder="1"/>
    <xf numFmtId="167" fontId="1" fillId="3" borderId="0" xfId="0" applyNumberFormat="1" applyFont="1" applyFill="1"/>
    <xf numFmtId="166" fontId="7" fillId="3" borderId="0" xfId="0" applyNumberFormat="1" applyFont="1" applyFill="1"/>
    <xf numFmtId="164" fontId="7" fillId="3" borderId="0" xfId="0" applyNumberFormat="1" applyFont="1" applyFill="1"/>
    <xf numFmtId="164" fontId="7" fillId="3" borderId="1" xfId="0" applyNumberFormat="1" applyFont="1" applyFill="1" applyBorder="1"/>
    <xf numFmtId="9" fontId="1" fillId="0" borderId="0" xfId="1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9" fontId="7" fillId="3" borderId="0" xfId="1" applyFont="1" applyFill="1"/>
    <xf numFmtId="166" fontId="7" fillId="3" borderId="0" xfId="1" applyNumberFormat="1" applyFont="1" applyFill="1"/>
    <xf numFmtId="0" fontId="8" fillId="0" borderId="13" xfId="0" applyFont="1" applyBorder="1"/>
    <xf numFmtId="166" fontId="7" fillId="3" borderId="14" xfId="1" applyNumberFormat="1" applyFont="1" applyFill="1" applyBorder="1"/>
    <xf numFmtId="0" fontId="8" fillId="0" borderId="14" xfId="0" applyFont="1" applyBorder="1"/>
    <xf numFmtId="168" fontId="8" fillId="0" borderId="15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20" zoomScaleNormal="120" workbookViewId="0">
      <selection activeCell="T27" sqref="T27"/>
    </sheetView>
  </sheetViews>
  <sheetFormatPr defaultColWidth="12.5703125" defaultRowHeight="15" customHeight="1" x14ac:dyDescent="0.2"/>
  <cols>
    <col min="1" max="1" width="36" customWidth="1"/>
    <col min="2" max="2" width="9.140625" customWidth="1"/>
    <col min="3" max="3" width="1.5703125" customWidth="1"/>
    <col min="4" max="4" width="9.28515625" customWidth="1"/>
    <col min="5" max="13" width="9.140625" customWidth="1"/>
    <col min="14" max="14" width="2" customWidth="1"/>
    <col min="15" max="26" width="8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4">
      <c r="A2" s="2" t="s">
        <v>24</v>
      </c>
      <c r="B2" s="1"/>
      <c r="C2" s="1"/>
      <c r="D2" s="1"/>
      <c r="E2" s="1" t="s">
        <v>29</v>
      </c>
      <c r="F2" s="1"/>
      <c r="G2" s="1"/>
      <c r="H2" s="4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1"/>
      <c r="B3" s="3" t="s">
        <v>0</v>
      </c>
      <c r="C3" s="1"/>
      <c r="D3" s="49" t="s">
        <v>1</v>
      </c>
      <c r="E3" s="50"/>
      <c r="F3" s="50"/>
      <c r="G3" s="50"/>
      <c r="H3" s="50"/>
      <c r="I3" s="50"/>
      <c r="J3" s="50"/>
      <c r="K3" s="50"/>
      <c r="L3" s="50"/>
      <c r="M3" s="5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4" t="s">
        <v>2</v>
      </c>
      <c r="B4" s="5">
        <v>2023</v>
      </c>
      <c r="C4" s="6"/>
      <c r="D4" s="6">
        <v>2024</v>
      </c>
      <c r="E4" s="6">
        <f t="shared" ref="E4:M4" si="0">D4+1</f>
        <v>2025</v>
      </c>
      <c r="F4" s="6">
        <f t="shared" si="0"/>
        <v>2026</v>
      </c>
      <c r="G4" s="6">
        <f t="shared" si="0"/>
        <v>2027</v>
      </c>
      <c r="H4" s="6">
        <f t="shared" si="0"/>
        <v>2028</v>
      </c>
      <c r="I4" s="6">
        <f t="shared" si="0"/>
        <v>2029</v>
      </c>
      <c r="J4" s="6">
        <f t="shared" si="0"/>
        <v>2030</v>
      </c>
      <c r="K4" s="6">
        <f t="shared" si="0"/>
        <v>2031</v>
      </c>
      <c r="L4" s="6">
        <f t="shared" si="0"/>
        <v>2032</v>
      </c>
      <c r="M4" s="6">
        <f t="shared" si="0"/>
        <v>2033</v>
      </c>
      <c r="N4" s="1"/>
      <c r="O4" s="37" t="s">
        <v>23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.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" t="s">
        <v>25</v>
      </c>
      <c r="B6" s="46">
        <v>700</v>
      </c>
      <c r="C6" s="8"/>
      <c r="D6" s="7">
        <f>B6*(1+$O$6)</f>
        <v>735</v>
      </c>
      <c r="E6" s="7">
        <f>D6*(1+$O$6)</f>
        <v>771.75</v>
      </c>
      <c r="F6" s="7">
        <f t="shared" ref="F6:M6" si="1">E6*(1+$O$6)</f>
        <v>810.33750000000009</v>
      </c>
      <c r="G6" s="7">
        <f t="shared" si="1"/>
        <v>850.85437500000012</v>
      </c>
      <c r="H6" s="7">
        <f t="shared" si="1"/>
        <v>893.39709375000018</v>
      </c>
      <c r="I6" s="7">
        <f t="shared" si="1"/>
        <v>938.06694843750017</v>
      </c>
      <c r="J6" s="7">
        <f t="shared" si="1"/>
        <v>984.97029585937526</v>
      </c>
      <c r="K6" s="7">
        <f t="shared" si="1"/>
        <v>1034.218810652344</v>
      </c>
      <c r="L6" s="7">
        <f t="shared" si="1"/>
        <v>1085.9297511849613</v>
      </c>
      <c r="M6" s="7">
        <f t="shared" si="1"/>
        <v>1140.2262387442095</v>
      </c>
      <c r="N6" s="1"/>
      <c r="O6" s="51">
        <v>0.05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9" t="s">
        <v>26</v>
      </c>
      <c r="B7" s="47">
        <v>50</v>
      </c>
      <c r="C7" s="11"/>
      <c r="D7" s="10">
        <f>+B7*(1+O6)</f>
        <v>52.5</v>
      </c>
      <c r="E7" s="10">
        <f>D7*(1+$O$6)</f>
        <v>55.125</v>
      </c>
      <c r="F7" s="10">
        <f t="shared" ref="F7:M7" si="2">E7*(1+$O$6)</f>
        <v>57.881250000000001</v>
      </c>
      <c r="G7" s="10">
        <f t="shared" si="2"/>
        <v>60.775312500000005</v>
      </c>
      <c r="H7" s="10">
        <f t="shared" si="2"/>
        <v>63.814078125000009</v>
      </c>
      <c r="I7" s="10">
        <f t="shared" si="2"/>
        <v>67.004782031250016</v>
      </c>
      <c r="J7" s="10">
        <f t="shared" si="2"/>
        <v>70.355021132812524</v>
      </c>
      <c r="K7" s="10">
        <f t="shared" si="2"/>
        <v>73.872772189453158</v>
      </c>
      <c r="L7" s="10">
        <f t="shared" si="2"/>
        <v>77.566410798925816</v>
      </c>
      <c r="M7" s="10">
        <f t="shared" si="2"/>
        <v>81.444731338872103</v>
      </c>
      <c r="N7" s="1"/>
      <c r="O7" s="1"/>
      <c r="P7" s="35" t="s">
        <v>22</v>
      </c>
      <c r="Q7" s="35" t="s">
        <v>22</v>
      </c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2" t="s">
        <v>3</v>
      </c>
      <c r="B8" s="13">
        <f t="shared" ref="B8:M8" si="3">B6+B7</f>
        <v>750</v>
      </c>
      <c r="C8" s="13">
        <f t="shared" si="3"/>
        <v>0</v>
      </c>
      <c r="D8" s="13">
        <f t="shared" si="3"/>
        <v>787.5</v>
      </c>
      <c r="E8" s="13">
        <f t="shared" si="3"/>
        <v>826.875</v>
      </c>
      <c r="F8" s="13">
        <f t="shared" si="3"/>
        <v>868.21875000000011</v>
      </c>
      <c r="G8" s="13">
        <f t="shared" si="3"/>
        <v>911.62968750000016</v>
      </c>
      <c r="H8" s="13">
        <f t="shared" si="3"/>
        <v>957.21117187500022</v>
      </c>
      <c r="I8" s="13">
        <f t="shared" si="3"/>
        <v>1005.0717304687502</v>
      </c>
      <c r="J8" s="13">
        <f t="shared" si="3"/>
        <v>1055.3253169921877</v>
      </c>
      <c r="K8" s="13">
        <f t="shared" si="3"/>
        <v>1108.0915828417972</v>
      </c>
      <c r="L8" s="13">
        <f t="shared" si="3"/>
        <v>1163.4961619838871</v>
      </c>
      <c r="M8" s="13">
        <f t="shared" si="3"/>
        <v>1221.6709700830816</v>
      </c>
      <c r="N8" s="1"/>
      <c r="O8" s="1"/>
      <c r="P8" s="35" t="s">
        <v>22</v>
      </c>
      <c r="Q8" s="35" t="s">
        <v>22</v>
      </c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4" t="s">
        <v>4</v>
      </c>
      <c r="B9" s="14"/>
      <c r="C9" s="14"/>
      <c r="D9" s="15">
        <f>D8/B8-1</f>
        <v>5.0000000000000044E-2</v>
      </c>
      <c r="E9" s="15">
        <f t="shared" ref="E9:M9" si="4">E8/D8-1</f>
        <v>5.0000000000000044E-2</v>
      </c>
      <c r="F9" s="15">
        <f t="shared" si="4"/>
        <v>5.0000000000000044E-2</v>
      </c>
      <c r="G9" s="15">
        <f t="shared" si="4"/>
        <v>5.0000000000000044E-2</v>
      </c>
      <c r="H9" s="15">
        <f t="shared" si="4"/>
        <v>5.0000000000000044E-2</v>
      </c>
      <c r="I9" s="15">
        <f t="shared" si="4"/>
        <v>4.9999999999999822E-2</v>
      </c>
      <c r="J9" s="15">
        <f t="shared" si="4"/>
        <v>5.0000000000000044E-2</v>
      </c>
      <c r="K9" s="15">
        <f t="shared" si="4"/>
        <v>5.0000000000000044E-2</v>
      </c>
      <c r="L9" s="15">
        <f t="shared" si="4"/>
        <v>5.0000000000000044E-2</v>
      </c>
      <c r="M9" s="15">
        <f t="shared" si="4"/>
        <v>5.0000000000000044E-2</v>
      </c>
      <c r="N9" s="14"/>
      <c r="O9" s="14"/>
      <c r="P9" s="36" t="s">
        <v>22</v>
      </c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.75" hidden="1" customHeight="1" x14ac:dyDescent="0.3">
      <c r="A10" s="14"/>
      <c r="B10" s="16">
        <f>B8-B17</f>
        <v>315</v>
      </c>
      <c r="C10" s="16"/>
      <c r="D10" s="16">
        <f t="shared" ref="D10:M10" si="5">D8-D17</f>
        <v>330.75</v>
      </c>
      <c r="E10" s="16">
        <f t="shared" si="5"/>
        <v>347.28750000000002</v>
      </c>
      <c r="F10" s="16">
        <f t="shared" si="5"/>
        <v>364.65187500000008</v>
      </c>
      <c r="G10" s="16">
        <f t="shared" si="5"/>
        <v>382.88446875000011</v>
      </c>
      <c r="H10" s="16">
        <f t="shared" si="5"/>
        <v>402.02869218750016</v>
      </c>
      <c r="I10" s="16">
        <f t="shared" si="5"/>
        <v>422.13012679687506</v>
      </c>
      <c r="J10" s="16">
        <f t="shared" si="5"/>
        <v>443.23663313671886</v>
      </c>
      <c r="K10" s="16">
        <f t="shared" si="5"/>
        <v>465.39846479355481</v>
      </c>
      <c r="L10" s="16">
        <f t="shared" si="5"/>
        <v>488.66838803323253</v>
      </c>
      <c r="M10" s="16">
        <f t="shared" si="5"/>
        <v>513.10180743489423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4.5" customHeight="1" x14ac:dyDescent="0.3">
      <c r="A11" s="14"/>
      <c r="B11" s="14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2.75" customHeight="1" x14ac:dyDescent="0.3">
      <c r="A12" s="35" t="s">
        <v>27</v>
      </c>
      <c r="B12" s="16">
        <f t="shared" ref="B12:M12" si="6">B13*B6</f>
        <v>315</v>
      </c>
      <c r="C12" s="16">
        <f t="shared" si="6"/>
        <v>0</v>
      </c>
      <c r="D12" s="16">
        <f>D6*D13</f>
        <v>330.75</v>
      </c>
      <c r="E12" s="16">
        <f t="shared" si="6"/>
        <v>347.28750000000002</v>
      </c>
      <c r="F12" s="16">
        <f t="shared" si="6"/>
        <v>364.65187500000008</v>
      </c>
      <c r="G12" s="16">
        <f t="shared" si="6"/>
        <v>382.88446875000005</v>
      </c>
      <c r="H12" s="16">
        <f t="shared" si="6"/>
        <v>402.0286921875001</v>
      </c>
      <c r="I12" s="16">
        <f t="shared" si="6"/>
        <v>422.13012679687506</v>
      </c>
      <c r="J12" s="16">
        <f t="shared" si="6"/>
        <v>443.23663313671886</v>
      </c>
      <c r="K12" s="16">
        <f t="shared" si="6"/>
        <v>465.39846479355481</v>
      </c>
      <c r="L12" s="16">
        <f t="shared" si="6"/>
        <v>488.66838803323259</v>
      </c>
      <c r="M12" s="16">
        <f t="shared" si="6"/>
        <v>513.10180743489423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.75" customHeight="1" x14ac:dyDescent="0.3">
      <c r="A13" s="14" t="s">
        <v>21</v>
      </c>
      <c r="B13" s="45">
        <v>0.45</v>
      </c>
      <c r="C13" s="17">
        <v>0.5</v>
      </c>
      <c r="D13" s="17">
        <f>B13</f>
        <v>0.45</v>
      </c>
      <c r="E13" s="17">
        <f>D13</f>
        <v>0.45</v>
      </c>
      <c r="F13" s="17">
        <f t="shared" ref="F13:M13" si="7">E13</f>
        <v>0.45</v>
      </c>
      <c r="G13" s="17">
        <f t="shared" si="7"/>
        <v>0.45</v>
      </c>
      <c r="H13" s="17">
        <f t="shared" si="7"/>
        <v>0.45</v>
      </c>
      <c r="I13" s="17">
        <f t="shared" si="7"/>
        <v>0.45</v>
      </c>
      <c r="J13" s="17">
        <f t="shared" si="7"/>
        <v>0.45</v>
      </c>
      <c r="K13" s="17">
        <f t="shared" si="7"/>
        <v>0.45</v>
      </c>
      <c r="L13" s="17">
        <f t="shared" si="7"/>
        <v>0.45</v>
      </c>
      <c r="M13" s="17">
        <f t="shared" si="7"/>
        <v>0.45</v>
      </c>
      <c r="N13" s="18"/>
      <c r="O13" s="14"/>
      <c r="U13" s="14"/>
      <c r="V13" s="14"/>
      <c r="W13" s="14"/>
      <c r="X13" s="14"/>
      <c r="Y13" s="14"/>
      <c r="Z13" s="14"/>
    </row>
    <row r="14" spans="1:26" ht="5.25" customHeight="1" x14ac:dyDescent="0.3">
      <c r="A14" s="14"/>
      <c r="B14" s="14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4"/>
      <c r="O14" s="14"/>
      <c r="U14" s="14"/>
      <c r="V14" s="14"/>
      <c r="W14" s="14"/>
      <c r="X14" s="14"/>
      <c r="Y14" s="14"/>
      <c r="Z14" s="14"/>
    </row>
    <row r="15" spans="1:26" ht="12.75" customHeight="1" x14ac:dyDescent="0.3">
      <c r="A15" s="1" t="s">
        <v>28</v>
      </c>
      <c r="B15" s="16">
        <f t="shared" ref="B15:D15" si="8">B16*B7</f>
        <v>0</v>
      </c>
      <c r="C15" s="16">
        <f t="shared" si="8"/>
        <v>0</v>
      </c>
      <c r="D15" s="16">
        <f t="shared" si="8"/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4"/>
      <c r="O15" s="14"/>
      <c r="U15" s="14"/>
      <c r="V15" s="14"/>
      <c r="W15" s="14"/>
      <c r="X15" s="14"/>
      <c r="Y15" s="14"/>
      <c r="Z15" s="14"/>
    </row>
    <row r="16" spans="1:26" ht="12.75" customHeight="1" x14ac:dyDescent="0.3">
      <c r="A16" s="19" t="s">
        <v>21</v>
      </c>
      <c r="B16" s="20">
        <v>0</v>
      </c>
      <c r="C16" s="21">
        <v>0.6</v>
      </c>
      <c r="D16" s="22">
        <f>B16</f>
        <v>0</v>
      </c>
      <c r="E16" s="22">
        <f>D16</f>
        <v>0</v>
      </c>
      <c r="F16" s="22">
        <f t="shared" ref="F16:M16" si="9">D16</f>
        <v>0</v>
      </c>
      <c r="G16" s="22">
        <f t="shared" si="9"/>
        <v>0</v>
      </c>
      <c r="H16" s="22">
        <f t="shared" si="9"/>
        <v>0</v>
      </c>
      <c r="I16" s="22">
        <f t="shared" si="9"/>
        <v>0</v>
      </c>
      <c r="J16" s="22">
        <f t="shared" si="9"/>
        <v>0</v>
      </c>
      <c r="K16" s="22">
        <f t="shared" si="9"/>
        <v>0</v>
      </c>
      <c r="L16" s="22">
        <f t="shared" si="9"/>
        <v>0</v>
      </c>
      <c r="M16" s="22">
        <f t="shared" si="9"/>
        <v>0</v>
      </c>
      <c r="N16" s="14"/>
      <c r="O16" s="14"/>
      <c r="U16" s="14"/>
      <c r="V16" s="14"/>
      <c r="W16" s="14"/>
      <c r="X16" s="14"/>
      <c r="Y16" s="14"/>
      <c r="Z16" s="14"/>
    </row>
    <row r="17" spans="1:26" ht="12.75" customHeight="1" x14ac:dyDescent="0.3">
      <c r="A17" s="12" t="s">
        <v>5</v>
      </c>
      <c r="B17" s="13">
        <f>B8-B12</f>
        <v>435</v>
      </c>
      <c r="C17" s="13">
        <f t="shared" ref="C17:M17" si="10">C8-C12</f>
        <v>0</v>
      </c>
      <c r="D17" s="13">
        <f t="shared" si="10"/>
        <v>456.75</v>
      </c>
      <c r="E17" s="13">
        <f t="shared" si="10"/>
        <v>479.58749999999998</v>
      </c>
      <c r="F17" s="13">
        <f t="shared" si="10"/>
        <v>503.56687500000004</v>
      </c>
      <c r="G17" s="13">
        <f t="shared" si="10"/>
        <v>528.74521875000005</v>
      </c>
      <c r="H17" s="13">
        <f t="shared" si="10"/>
        <v>555.18247968750006</v>
      </c>
      <c r="I17" s="13">
        <f t="shared" si="10"/>
        <v>582.9416036718751</v>
      </c>
      <c r="J17" s="13">
        <f t="shared" si="10"/>
        <v>612.08868385546884</v>
      </c>
      <c r="K17" s="13">
        <f t="shared" si="10"/>
        <v>642.69311804824235</v>
      </c>
      <c r="L17" s="13">
        <f t="shared" si="10"/>
        <v>674.82777395065455</v>
      </c>
      <c r="M17" s="13">
        <f t="shared" si="10"/>
        <v>708.56916264818733</v>
      </c>
      <c r="N17" s="1"/>
      <c r="O17" s="1"/>
      <c r="U17" s="1"/>
      <c r="V17" s="1"/>
      <c r="W17" s="1"/>
      <c r="X17" s="1"/>
      <c r="Y17" s="1"/>
      <c r="Z17" s="1"/>
    </row>
    <row r="18" spans="1:26" ht="12.75" customHeight="1" x14ac:dyDescent="0.3">
      <c r="A18" s="14" t="s">
        <v>6</v>
      </c>
      <c r="B18" s="15">
        <f t="shared" ref="B18:M18" si="11">B17/B8</f>
        <v>0.57999999999999996</v>
      </c>
      <c r="C18" s="15" t="e">
        <f t="shared" si="11"/>
        <v>#DIV/0!</v>
      </c>
      <c r="D18" s="15">
        <f t="shared" si="11"/>
        <v>0.57999999999999996</v>
      </c>
      <c r="E18" s="15">
        <f t="shared" si="11"/>
        <v>0.57999999999999996</v>
      </c>
      <c r="F18" s="15">
        <f t="shared" si="11"/>
        <v>0.57999999999999996</v>
      </c>
      <c r="G18" s="15">
        <f t="shared" si="11"/>
        <v>0.57999999999999996</v>
      </c>
      <c r="H18" s="15">
        <f t="shared" si="11"/>
        <v>0.57999999999999996</v>
      </c>
      <c r="I18" s="15">
        <f t="shared" si="11"/>
        <v>0.57999999999999996</v>
      </c>
      <c r="J18" s="15">
        <f t="shared" si="11"/>
        <v>0.57999999999999996</v>
      </c>
      <c r="K18" s="15">
        <f t="shared" si="11"/>
        <v>0.57999999999999996</v>
      </c>
      <c r="L18" s="15">
        <f t="shared" si="11"/>
        <v>0.58000000000000007</v>
      </c>
      <c r="M18" s="15">
        <f t="shared" si="11"/>
        <v>0.58000000000000007</v>
      </c>
      <c r="N18" s="14"/>
      <c r="O18" s="14"/>
      <c r="U18" s="14"/>
      <c r="V18" s="14"/>
      <c r="W18" s="14"/>
      <c r="X18" s="14"/>
      <c r="Y18" s="14"/>
      <c r="Z18" s="14"/>
    </row>
    <row r="19" spans="1:26" ht="8.25" customHeight="1" x14ac:dyDescent="0.3">
      <c r="A19" s="14"/>
      <c r="B19" s="15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2.75" customHeight="1" x14ac:dyDescent="0.3">
      <c r="A20" s="1" t="s">
        <v>7</v>
      </c>
      <c r="B20" s="46">
        <v>300</v>
      </c>
      <c r="C20" s="23"/>
      <c r="D20" s="23">
        <f>B20*(1+O20)</f>
        <v>321</v>
      </c>
      <c r="E20" s="23">
        <f>D20*(1+$O$20)</f>
        <v>343.47</v>
      </c>
      <c r="F20" s="23">
        <f t="shared" ref="F20:M20" si="12">E20*(1+$O$20)</f>
        <v>367.51290000000006</v>
      </c>
      <c r="G20" s="23">
        <f t="shared" si="12"/>
        <v>393.23880300000008</v>
      </c>
      <c r="H20" s="23">
        <f t="shared" si="12"/>
        <v>420.76551921000009</v>
      </c>
      <c r="I20" s="23">
        <f t="shared" si="12"/>
        <v>450.21910555470015</v>
      </c>
      <c r="J20" s="23">
        <f t="shared" si="12"/>
        <v>481.73444294352919</v>
      </c>
      <c r="K20" s="23">
        <f t="shared" si="12"/>
        <v>515.45585394957629</v>
      </c>
      <c r="L20" s="23">
        <f t="shared" si="12"/>
        <v>551.53776372604671</v>
      </c>
      <c r="M20" s="23">
        <f t="shared" si="12"/>
        <v>590.14540718686999</v>
      </c>
      <c r="N20" s="1"/>
      <c r="O20" s="51">
        <v>7.0000000000000007E-2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">
      <c r="A21" s="14" t="s">
        <v>6</v>
      </c>
      <c r="B21" s="24">
        <f>B20/B8</f>
        <v>0.4</v>
      </c>
      <c r="C21" s="25"/>
      <c r="D21" s="24">
        <f>D20/D8</f>
        <v>0.4076190476190476</v>
      </c>
      <c r="E21" s="15">
        <f>E20/E8</f>
        <v>0.41538321995464855</v>
      </c>
      <c r="F21" s="15">
        <f t="shared" ref="F21:M21" si="13">F20/F8</f>
        <v>0.42329528128711802</v>
      </c>
      <c r="G21" s="15">
        <f t="shared" si="13"/>
        <v>0.43135804854972981</v>
      </c>
      <c r="H21" s="15">
        <f t="shared" si="13"/>
        <v>0.43957439233162943</v>
      </c>
      <c r="I21" s="15">
        <f t="shared" si="13"/>
        <v>0.44794723789985103</v>
      </c>
      <c r="J21" s="15">
        <f t="shared" si="13"/>
        <v>0.45647956624080055</v>
      </c>
      <c r="K21" s="15">
        <f t="shared" si="13"/>
        <v>0.46517441512157776</v>
      </c>
      <c r="L21" s="15">
        <f t="shared" si="13"/>
        <v>0.47403488017151257</v>
      </c>
      <c r="M21" s="15">
        <f t="shared" si="13"/>
        <v>0.48306411598430327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6" customHeight="1" x14ac:dyDescent="0.3">
      <c r="A22" s="1"/>
      <c r="B22" s="1"/>
      <c r="C22" s="1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38" t="s">
        <v>8</v>
      </c>
      <c r="B23" s="39">
        <f t="shared" ref="B23:M23" si="14">B17-B20</f>
        <v>135</v>
      </c>
      <c r="C23" s="39">
        <f t="shared" si="14"/>
        <v>0</v>
      </c>
      <c r="D23" s="39">
        <f t="shared" si="14"/>
        <v>135.75</v>
      </c>
      <c r="E23" s="39">
        <f t="shared" si="14"/>
        <v>136.11749999999995</v>
      </c>
      <c r="F23" s="39">
        <f t="shared" si="14"/>
        <v>136.05397499999998</v>
      </c>
      <c r="G23" s="39">
        <f t="shared" si="14"/>
        <v>135.50641574999997</v>
      </c>
      <c r="H23" s="39">
        <f t="shared" si="14"/>
        <v>134.41696047749997</v>
      </c>
      <c r="I23" s="39">
        <f t="shared" si="14"/>
        <v>132.72249811717495</v>
      </c>
      <c r="J23" s="39">
        <f t="shared" si="14"/>
        <v>130.35424091193966</v>
      </c>
      <c r="K23" s="39">
        <f t="shared" si="14"/>
        <v>127.23726409866606</v>
      </c>
      <c r="L23" s="39">
        <f t="shared" si="14"/>
        <v>123.29001022460784</v>
      </c>
      <c r="M23" s="40">
        <f t="shared" si="14"/>
        <v>118.42375546131734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">
      <c r="A24" s="26" t="s">
        <v>6</v>
      </c>
      <c r="B24" s="21">
        <f>B23/B8</f>
        <v>0.18</v>
      </c>
      <c r="C24" s="21"/>
      <c r="D24" s="21">
        <f t="shared" ref="D24:M24" si="15">D23/D8</f>
        <v>0.17238095238095238</v>
      </c>
      <c r="E24" s="21">
        <f t="shared" si="15"/>
        <v>0.16461678004535141</v>
      </c>
      <c r="F24" s="21">
        <f t="shared" si="15"/>
        <v>0.15670471871288194</v>
      </c>
      <c r="G24" s="21">
        <f t="shared" si="15"/>
        <v>0.14864195145027015</v>
      </c>
      <c r="H24" s="21">
        <f t="shared" si="15"/>
        <v>0.14042560766837053</v>
      </c>
      <c r="I24" s="21">
        <f t="shared" si="15"/>
        <v>0.13205276210014902</v>
      </c>
      <c r="J24" s="21">
        <f t="shared" si="15"/>
        <v>0.12352043375919942</v>
      </c>
      <c r="K24" s="21">
        <f t="shared" si="15"/>
        <v>0.11482558487842227</v>
      </c>
      <c r="L24" s="21">
        <f t="shared" si="15"/>
        <v>0.10596511982848746</v>
      </c>
      <c r="M24" s="27">
        <f t="shared" si="15"/>
        <v>9.6935884015696763E-2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">
      <c r="A26" s="14" t="s">
        <v>9</v>
      </c>
      <c r="B26" s="52">
        <v>0.26800000000000002</v>
      </c>
      <c r="C26" s="15">
        <v>0.39</v>
      </c>
      <c r="D26" s="15">
        <f>B26</f>
        <v>0.26800000000000002</v>
      </c>
      <c r="E26" s="15">
        <f>D26</f>
        <v>0.26800000000000002</v>
      </c>
      <c r="F26" s="15">
        <f t="shared" ref="F26:M26" si="16">D26</f>
        <v>0.26800000000000002</v>
      </c>
      <c r="G26" s="15">
        <f t="shared" si="16"/>
        <v>0.26800000000000002</v>
      </c>
      <c r="H26" s="15">
        <f t="shared" si="16"/>
        <v>0.26800000000000002</v>
      </c>
      <c r="I26" s="15">
        <f t="shared" si="16"/>
        <v>0.26800000000000002</v>
      </c>
      <c r="J26" s="15">
        <f t="shared" si="16"/>
        <v>0.26800000000000002</v>
      </c>
      <c r="K26" s="15">
        <f t="shared" si="16"/>
        <v>0.26800000000000002</v>
      </c>
      <c r="L26" s="15">
        <f t="shared" si="16"/>
        <v>0.26800000000000002</v>
      </c>
      <c r="M26" s="15">
        <f t="shared" si="16"/>
        <v>0.26800000000000002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2.75" customHeight="1" x14ac:dyDescent="0.3">
      <c r="A27" s="1" t="s">
        <v>10</v>
      </c>
      <c r="B27" s="28">
        <f>B26*B23</f>
        <v>36.18</v>
      </c>
      <c r="C27" s="28"/>
      <c r="D27" s="28">
        <f t="shared" ref="D27:M27" si="17">D26*D23</f>
        <v>36.381</v>
      </c>
      <c r="E27" s="28">
        <f t="shared" si="17"/>
        <v>36.479489999999991</v>
      </c>
      <c r="F27" s="28">
        <f t="shared" si="17"/>
        <v>36.462465299999998</v>
      </c>
      <c r="G27" s="28">
        <f t="shared" si="17"/>
        <v>36.315719420999997</v>
      </c>
      <c r="H27" s="28">
        <f t="shared" si="17"/>
        <v>36.023745407969997</v>
      </c>
      <c r="I27" s="28">
        <f t="shared" si="17"/>
        <v>35.569629495402886</v>
      </c>
      <c r="J27" s="28">
        <f t="shared" si="17"/>
        <v>34.934936564399827</v>
      </c>
      <c r="K27" s="28">
        <f t="shared" si="17"/>
        <v>34.099586778442507</v>
      </c>
      <c r="L27" s="28">
        <f t="shared" si="17"/>
        <v>33.041722740194906</v>
      </c>
      <c r="M27" s="28">
        <f t="shared" si="17"/>
        <v>31.737566463633048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41" t="s">
        <v>11</v>
      </c>
      <c r="B29" s="42">
        <f>B23-B27</f>
        <v>98.82</v>
      </c>
      <c r="C29" s="42"/>
      <c r="D29" s="42">
        <f t="shared" ref="D29:M29" si="18">D23-D27</f>
        <v>99.369</v>
      </c>
      <c r="E29" s="42">
        <f t="shared" si="18"/>
        <v>99.638009999999952</v>
      </c>
      <c r="F29" s="42">
        <f t="shared" si="18"/>
        <v>99.591509699999989</v>
      </c>
      <c r="G29" s="42">
        <f t="shared" si="18"/>
        <v>99.190696328999977</v>
      </c>
      <c r="H29" s="42">
        <f t="shared" si="18"/>
        <v>98.393215069529973</v>
      </c>
      <c r="I29" s="42">
        <f t="shared" si="18"/>
        <v>97.152868621772058</v>
      </c>
      <c r="J29" s="42">
        <f t="shared" si="18"/>
        <v>95.419304347539821</v>
      </c>
      <c r="K29" s="42">
        <f t="shared" si="18"/>
        <v>93.13767732022356</v>
      </c>
      <c r="L29" s="42">
        <f t="shared" si="18"/>
        <v>90.248287484412941</v>
      </c>
      <c r="M29" s="43">
        <f t="shared" si="18"/>
        <v>86.686188997684297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">
      <c r="A30" s="14" t="s">
        <v>6</v>
      </c>
      <c r="B30" s="15">
        <f>B29/B8</f>
        <v>0.13175999999999999</v>
      </c>
      <c r="C30" s="14"/>
      <c r="D30" s="15">
        <f t="shared" ref="D30:M30" si="19">D29/D8</f>
        <v>0.12618285714285715</v>
      </c>
      <c r="E30" s="15">
        <f t="shared" si="19"/>
        <v>0.12049948299319722</v>
      </c>
      <c r="F30" s="15">
        <f t="shared" si="19"/>
        <v>0.11470785409782958</v>
      </c>
      <c r="G30" s="15">
        <f t="shared" si="19"/>
        <v>0.10880590846159775</v>
      </c>
      <c r="H30" s="15">
        <f t="shared" si="19"/>
        <v>0.10279154481324722</v>
      </c>
      <c r="I30" s="15">
        <f t="shared" si="19"/>
        <v>9.6662621857309061E-2</v>
      </c>
      <c r="J30" s="15">
        <f t="shared" si="19"/>
        <v>9.0416957511733967E-2</v>
      </c>
      <c r="K30" s="15">
        <f t="shared" si="19"/>
        <v>8.4052328131005105E-2</v>
      </c>
      <c r="L30" s="15">
        <f t="shared" si="19"/>
        <v>7.7566467714452816E-2</v>
      </c>
      <c r="M30" s="15">
        <f t="shared" si="19"/>
        <v>7.0957067099490026E-2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2.75" customHeight="1" x14ac:dyDescent="0.3">
      <c r="A31" s="14"/>
      <c r="B31" s="15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2.75" customHeight="1" x14ac:dyDescent="0.3">
      <c r="A32" s="6" t="s">
        <v>12</v>
      </c>
      <c r="B32" s="1"/>
      <c r="C32" s="1"/>
      <c r="D32" s="1"/>
      <c r="E32" s="29"/>
      <c r="F32" s="29"/>
      <c r="G32" s="29"/>
      <c r="H32" s="29"/>
      <c r="I32" s="29"/>
      <c r="J32" s="29"/>
      <c r="K32" s="29"/>
      <c r="L32" s="29"/>
      <c r="M32" s="2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 t="s">
        <v>13</v>
      </c>
      <c r="B34" s="44">
        <v>60</v>
      </c>
      <c r="C34" s="1"/>
      <c r="D34" s="28">
        <f>(B8-D8)/365*$B34</f>
        <v>-6.1643835616438354</v>
      </c>
      <c r="E34" s="28">
        <f t="shared" ref="E34:M34" si="20">(D8-E8)/365*$B34</f>
        <v>-6.4726027397260273</v>
      </c>
      <c r="F34" s="28">
        <f t="shared" si="20"/>
        <v>-6.796232876712347</v>
      </c>
      <c r="G34" s="28">
        <f t="shared" si="20"/>
        <v>-7.1360445205479524</v>
      </c>
      <c r="H34" s="28">
        <f t="shared" si="20"/>
        <v>-7.4928467465753519</v>
      </c>
      <c r="I34" s="28">
        <f t="shared" si="20"/>
        <v>-7.8674890839041005</v>
      </c>
      <c r="J34" s="28">
        <f t="shared" si="20"/>
        <v>-8.2608635380993238</v>
      </c>
      <c r="K34" s="28">
        <f t="shared" si="20"/>
        <v>-8.6739067150042946</v>
      </c>
      <c r="L34" s="28">
        <f t="shared" si="20"/>
        <v>-9.1076020507545064</v>
      </c>
      <c r="M34" s="28">
        <f t="shared" si="20"/>
        <v>-9.5629821532922428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 t="s">
        <v>14</v>
      </c>
      <c r="B35" s="44">
        <v>5</v>
      </c>
      <c r="C35" s="1"/>
      <c r="D35" s="28">
        <f>(B10-D10)/365*$B35</f>
        <v>-0.21575342465753428</v>
      </c>
      <c r="E35" s="28">
        <f t="shared" ref="E35:M35" si="21">(D10-E10)/365*$B35</f>
        <v>-0.22654109589041127</v>
      </c>
      <c r="F35" s="28">
        <f t="shared" si="21"/>
        <v>-0.23786815068493222</v>
      </c>
      <c r="G35" s="28">
        <f t="shared" si="21"/>
        <v>-0.24976155821917856</v>
      </c>
      <c r="H35" s="28">
        <f t="shared" si="21"/>
        <v>-0.26224963613013763</v>
      </c>
      <c r="I35" s="28">
        <f t="shared" si="21"/>
        <v>-0.27536211793664256</v>
      </c>
      <c r="J35" s="28">
        <f t="shared" si="21"/>
        <v>-0.28913022383347675</v>
      </c>
      <c r="K35" s="28">
        <f t="shared" si="21"/>
        <v>-0.30358673502514988</v>
      </c>
      <c r="L35" s="28">
        <f t="shared" si="21"/>
        <v>-0.31876607177640714</v>
      </c>
      <c r="M35" s="28">
        <f t="shared" si="21"/>
        <v>-0.33470437536522868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" customHeight="1" x14ac:dyDescent="0.3">
      <c r="A36" s="1"/>
      <c r="B36" s="8"/>
      <c r="C36" s="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 t="s">
        <v>15</v>
      </c>
      <c r="B37" s="44">
        <v>40</v>
      </c>
      <c r="C37" s="1"/>
      <c r="D37" s="28">
        <f>(D10-B10)*$B37/365</f>
        <v>1.726027397260274</v>
      </c>
      <c r="E37" s="28">
        <f t="shared" ref="E37:M37" si="22">(E10-D10)*$B37/365</f>
        <v>1.8123287671232902</v>
      </c>
      <c r="F37" s="28">
        <f t="shared" si="22"/>
        <v>1.9029452054794578</v>
      </c>
      <c r="G37" s="28">
        <f t="shared" si="22"/>
        <v>1.9980924657534285</v>
      </c>
      <c r="H37" s="28">
        <f t="shared" si="22"/>
        <v>2.097997089041101</v>
      </c>
      <c r="I37" s="28">
        <f t="shared" si="22"/>
        <v>2.2028969434931405</v>
      </c>
      <c r="J37" s="28">
        <f t="shared" si="22"/>
        <v>2.313041790667814</v>
      </c>
      <c r="K37" s="28">
        <f t="shared" si="22"/>
        <v>2.4286938802011995</v>
      </c>
      <c r="L37" s="28">
        <f t="shared" si="22"/>
        <v>2.5501285742112572</v>
      </c>
      <c r="M37" s="28">
        <f t="shared" si="22"/>
        <v>2.6776350029218294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8.25" customHeight="1" x14ac:dyDescent="0.3">
      <c r="A38" s="1"/>
      <c r="B38" s="1"/>
      <c r="C38" s="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30" t="s">
        <v>16</v>
      </c>
      <c r="B39" s="1"/>
      <c r="C39" s="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 t="s">
        <v>16</v>
      </c>
      <c r="B40" s="1"/>
      <c r="C40" s="1"/>
      <c r="D40" s="28">
        <f t="shared" ref="D40:M40" si="23">D29+D34+D35+D37</f>
        <v>94.714890410958901</v>
      </c>
      <c r="E40" s="28">
        <f t="shared" si="23"/>
        <v>94.751194931506802</v>
      </c>
      <c r="F40" s="28">
        <f t="shared" si="23"/>
        <v>94.460353878082159</v>
      </c>
      <c r="G40" s="28">
        <f t="shared" si="23"/>
        <v>93.802982715986275</v>
      </c>
      <c r="H40" s="28">
        <f t="shared" si="23"/>
        <v>92.736115775865585</v>
      </c>
      <c r="I40" s="28">
        <f t="shared" si="23"/>
        <v>91.21291436342446</v>
      </c>
      <c r="J40" s="28">
        <f t="shared" si="23"/>
        <v>89.182352376274821</v>
      </c>
      <c r="K40" s="28">
        <f t="shared" si="23"/>
        <v>86.588877750395312</v>
      </c>
      <c r="L40" s="28">
        <f t="shared" si="23"/>
        <v>83.372047936093281</v>
      </c>
      <c r="M40" s="28">
        <f t="shared" si="23"/>
        <v>79.466137471948656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9" t="s">
        <v>17</v>
      </c>
      <c r="B41" s="52">
        <v>0.02</v>
      </c>
      <c r="C41" s="9"/>
      <c r="D41" s="31"/>
      <c r="E41" s="31"/>
      <c r="F41" s="31"/>
      <c r="G41" s="31"/>
      <c r="H41" s="31"/>
      <c r="I41" s="31"/>
      <c r="J41" s="31"/>
      <c r="K41" s="31"/>
      <c r="L41" s="31"/>
      <c r="M41" s="31">
        <f>M40*(1+B41)/(B47-B41)</f>
        <v>810.55460221387636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 t="s">
        <v>18</v>
      </c>
      <c r="B42" s="1"/>
      <c r="C42" s="1"/>
      <c r="D42" s="28">
        <f t="shared" ref="D42:M42" si="24">D40+D41</f>
        <v>94.714890410958901</v>
      </c>
      <c r="E42" s="28">
        <f t="shared" si="24"/>
        <v>94.751194931506802</v>
      </c>
      <c r="F42" s="28">
        <f t="shared" si="24"/>
        <v>94.460353878082159</v>
      </c>
      <c r="G42" s="28">
        <f t="shared" si="24"/>
        <v>93.802982715986275</v>
      </c>
      <c r="H42" s="28">
        <f t="shared" si="24"/>
        <v>92.736115775865585</v>
      </c>
      <c r="I42" s="28">
        <f t="shared" si="24"/>
        <v>91.21291436342446</v>
      </c>
      <c r="J42" s="28">
        <f t="shared" si="24"/>
        <v>89.182352376274821</v>
      </c>
      <c r="K42" s="28">
        <f t="shared" si="24"/>
        <v>86.588877750395312</v>
      </c>
      <c r="L42" s="28">
        <f t="shared" si="24"/>
        <v>83.372047936093281</v>
      </c>
      <c r="M42" s="28">
        <f t="shared" si="24"/>
        <v>890.02073968582499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32" t="s">
        <v>19</v>
      </c>
      <c r="B45" s="33"/>
      <c r="C45" s="33"/>
      <c r="D45" s="34"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.5" customHeight="1" thickBo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thickBot="1" x14ac:dyDescent="0.35">
      <c r="A47" s="53" t="s">
        <v>20</v>
      </c>
      <c r="B47" s="54">
        <v>0.12</v>
      </c>
      <c r="C47" s="55"/>
      <c r="D47" s="56">
        <f>NPV(B47,D42:M42)-D45</f>
        <v>777.72372505137105</v>
      </c>
      <c r="E47" s="1"/>
      <c r="F47" s="4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3:M3"/>
  </mergeCells>
  <pageMargins left="0.25" right="0.25" top="0.75" bottom="0.75" header="0.3" footer="0.3"/>
  <pageSetup scale="83" orientation="landscape" r:id="rId1"/>
  <headerFooter>
    <oddHeader>&amp;CTemplate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 Forma P&amp;L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Ecolab User</dc:creator>
  <cp:lastModifiedBy>Dave Keil</cp:lastModifiedBy>
  <cp:lastPrinted>2024-03-29T16:15:40Z</cp:lastPrinted>
  <dcterms:created xsi:type="dcterms:W3CDTF">2005-06-15T21:39:58Z</dcterms:created>
  <dcterms:modified xsi:type="dcterms:W3CDTF">2024-06-26T18:18:52Z</dcterms:modified>
</cp:coreProperties>
</file>